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Objects="none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Hugh\Dropbox\Patent Firm\152-Squarex\valuation\"/>
    </mc:Choice>
  </mc:AlternateContent>
  <xr:revisionPtr revIDLastSave="0" documentId="13_ncr:1_{21B85A14-7208-44FD-BB91-5AE3723120F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NPV" sheetId="7" r:id="rId1"/>
  </sheets>
  <definedNames>
    <definedName name="_xlnm.Print_Area" localSheetId="0">NPV!$A$1:$S$33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7" l="1"/>
  <c r="G9" i="7"/>
  <c r="B24" i="7"/>
  <c r="H24" i="7" s="1"/>
  <c r="I8" i="7"/>
  <c r="J8" i="7" s="1"/>
  <c r="K8" i="7" s="1"/>
  <c r="L8" i="7" s="1"/>
  <c r="M8" i="7" s="1"/>
  <c r="N8" i="7" s="1"/>
  <c r="O8" i="7" s="1"/>
  <c r="P8" i="7" s="1"/>
  <c r="Q8" i="7" s="1"/>
  <c r="R8" i="7" s="1"/>
  <c r="S8" i="7" s="1"/>
  <c r="S6" i="7"/>
  <c r="R6" i="7"/>
  <c r="Q6" i="7"/>
  <c r="P6" i="7"/>
  <c r="O6" i="7"/>
  <c r="N6" i="7"/>
  <c r="M6" i="7"/>
  <c r="L6" i="7"/>
  <c r="K6" i="7"/>
  <c r="J6" i="7"/>
  <c r="I6" i="7"/>
  <c r="H6" i="7"/>
  <c r="H9" i="7" s="1"/>
  <c r="H12" i="7" s="1"/>
  <c r="H14" i="7" s="1"/>
  <c r="R24" i="7"/>
  <c r="Q24" i="7"/>
  <c r="N24" i="7"/>
  <c r="M24" i="7"/>
  <c r="J24" i="7"/>
  <c r="I24" i="7"/>
  <c r="F9" i="7"/>
  <c r="E9" i="7"/>
  <c r="D9" i="7"/>
  <c r="B20" i="7"/>
  <c r="I7" i="7"/>
  <c r="J7" i="7" s="1"/>
  <c r="I11" i="7"/>
  <c r="J11" i="7" s="1"/>
  <c r="K11" i="7" s="1"/>
  <c r="L11" i="7" s="1"/>
  <c r="F12" i="7"/>
  <c r="E12" i="7"/>
  <c r="E14" i="7" s="1"/>
  <c r="E1" i="7"/>
  <c r="F1" i="7"/>
  <c r="G1" i="7" s="1"/>
  <c r="H1" i="7" s="1"/>
  <c r="I1" i="7" s="1"/>
  <c r="J1" i="7" s="1"/>
  <c r="K1" i="7" s="1"/>
  <c r="L1" i="7" s="1"/>
  <c r="M1" i="7" s="1"/>
  <c r="N1" i="7" s="1"/>
  <c r="O1" i="7" s="1"/>
  <c r="P1" i="7" s="1"/>
  <c r="Q1" i="7" s="1"/>
  <c r="R1" i="7" s="1"/>
  <c r="S1" i="7" s="1"/>
  <c r="G18" i="7" l="1"/>
  <c r="K24" i="7"/>
  <c r="O24" i="7"/>
  <c r="S24" i="7"/>
  <c r="F14" i="7"/>
  <c r="L24" i="7"/>
  <c r="P24" i="7"/>
  <c r="H13" i="7"/>
  <c r="D12" i="7"/>
  <c r="E13" i="7"/>
  <c r="F15" i="7"/>
  <c r="I9" i="7"/>
  <c r="M11" i="7"/>
  <c r="K7" i="7"/>
  <c r="J9" i="7"/>
  <c r="I12" i="7"/>
  <c r="H15" i="7"/>
  <c r="E15" i="7"/>
  <c r="E16" i="7" s="1"/>
  <c r="E18" i="7" s="1"/>
  <c r="F13" i="7"/>
  <c r="H16" i="7" l="1"/>
  <c r="H18" i="7" s="1"/>
  <c r="F16" i="7"/>
  <c r="F18" i="7" s="1"/>
  <c r="I15" i="7"/>
  <c r="D15" i="7"/>
  <c r="D14" i="7"/>
  <c r="D13" i="7"/>
  <c r="I14" i="7"/>
  <c r="J12" i="7"/>
  <c r="J15" i="7" s="1"/>
  <c r="K9" i="7"/>
  <c r="L7" i="7"/>
  <c r="N11" i="7"/>
  <c r="I13" i="7"/>
  <c r="D16" i="7" l="1"/>
  <c r="D18" i="7" s="1"/>
  <c r="I16" i="7"/>
  <c r="I18" i="7" s="1"/>
  <c r="D20" i="7"/>
  <c r="D21" i="7" s="1"/>
  <c r="D26" i="7" s="1"/>
  <c r="O11" i="7"/>
  <c r="K12" i="7"/>
  <c r="K14" i="7" s="1"/>
  <c r="L9" i="7"/>
  <c r="M7" i="7"/>
  <c r="J14" i="7"/>
  <c r="J16" i="7" s="1"/>
  <c r="J18" i="7" s="1"/>
  <c r="E20" i="7" l="1"/>
  <c r="K15" i="7"/>
  <c r="K16" i="7" s="1"/>
  <c r="K18" i="7" s="1"/>
  <c r="L12" i="7"/>
  <c r="L14" i="7" s="1"/>
  <c r="M9" i="7"/>
  <c r="N7" i="7"/>
  <c r="P11" i="7"/>
  <c r="L15" i="7" l="1"/>
  <c r="F20" i="7"/>
  <c r="E21" i="7"/>
  <c r="E26" i="7" s="1"/>
  <c r="O7" i="7"/>
  <c r="N9" i="7"/>
  <c r="M12" i="7"/>
  <c r="M15" i="7" s="1"/>
  <c r="M14" i="7"/>
  <c r="L16" i="7"/>
  <c r="L18" i="7" s="1"/>
  <c r="Q11" i="7"/>
  <c r="H20" i="7" l="1"/>
  <c r="H21" i="7" s="1"/>
  <c r="G20" i="7"/>
  <c r="G21" i="7" s="1"/>
  <c r="G26" i="7" s="1"/>
  <c r="F21" i="7"/>
  <c r="F26" i="7" s="1"/>
  <c r="P7" i="7"/>
  <c r="O9" i="7"/>
  <c r="M16" i="7"/>
  <c r="M18" i="7" s="1"/>
  <c r="R11" i="7"/>
  <c r="N12" i="7"/>
  <c r="N15" i="7" s="1"/>
  <c r="H26" i="7" l="1"/>
  <c r="I20" i="7"/>
  <c r="I21" i="7" s="1"/>
  <c r="I26" i="7" s="1"/>
  <c r="O12" i="7"/>
  <c r="O15" i="7" s="1"/>
  <c r="N14" i="7"/>
  <c r="N16" i="7" s="1"/>
  <c r="N18" i="7" s="1"/>
  <c r="S11" i="7"/>
  <c r="P9" i="7"/>
  <c r="Q7" i="7"/>
  <c r="J20" i="7" l="1"/>
  <c r="J21" i="7" s="1"/>
  <c r="J26" i="7" s="1"/>
  <c r="O14" i="7"/>
  <c r="R7" i="7"/>
  <c r="Q9" i="7"/>
  <c r="P12" i="7"/>
  <c r="P14" i="7" s="1"/>
  <c r="O16" i="7"/>
  <c r="O18" i="7" s="1"/>
  <c r="K20" i="7" l="1"/>
  <c r="K21" i="7" s="1"/>
  <c r="K26" i="7" s="1"/>
  <c r="Q12" i="7"/>
  <c r="Q14" i="7" s="1"/>
  <c r="Q15" i="7"/>
  <c r="S7" i="7"/>
  <c r="R9" i="7"/>
  <c r="P15" i="7"/>
  <c r="P16" i="7" s="1"/>
  <c r="P18" i="7" s="1"/>
  <c r="L20" i="7" l="1"/>
  <c r="L21" i="7" s="1"/>
  <c r="L26" i="7" s="1"/>
  <c r="R12" i="7"/>
  <c r="R15" i="7" s="1"/>
  <c r="Q16" i="7"/>
  <c r="Q18" i="7" s="1"/>
  <c r="S9" i="7"/>
  <c r="M20" i="7" l="1"/>
  <c r="M21" i="7" s="1"/>
  <c r="S12" i="7"/>
  <c r="S14" i="7" s="1"/>
  <c r="R14" i="7"/>
  <c r="R16" i="7" s="1"/>
  <c r="R18" i="7" s="1"/>
  <c r="M26" i="7" l="1"/>
  <c r="N20" i="7"/>
  <c r="N21" i="7" s="1"/>
  <c r="N26" i="7" s="1"/>
  <c r="S15" i="7"/>
  <c r="S16" i="7" s="1"/>
  <c r="S18" i="7" s="1"/>
  <c r="O20" i="7" l="1"/>
  <c r="O21" i="7" s="1"/>
  <c r="O26" i="7" s="1"/>
  <c r="P20" i="7"/>
  <c r="P21" i="7" s="1"/>
  <c r="P26" i="7" s="1"/>
  <c r="Q20" i="7" l="1"/>
  <c r="Q21" i="7" s="1"/>
  <c r="Q26" i="7" s="1"/>
  <c r="R20" i="7" l="1"/>
  <c r="R21" i="7" s="1"/>
  <c r="R26" i="7" s="1"/>
  <c r="S20" i="7" l="1"/>
  <c r="S21" i="7" s="1"/>
  <c r="S26" i="7" l="1"/>
  <c r="C30" i="7" s="1"/>
  <c r="C32" i="7"/>
  <c r="C29" i="7"/>
</calcChain>
</file>

<file path=xl/sharedStrings.xml><?xml version="1.0" encoding="utf-8"?>
<sst xmlns="http://schemas.openxmlformats.org/spreadsheetml/2006/main" count="31" uniqueCount="30">
  <si>
    <t>Cost of Goods Sold</t>
  </si>
  <si>
    <t>Patients</t>
  </si>
  <si>
    <t>Operations (incl CRO)</t>
  </si>
  <si>
    <t>Sales &amp; Marketing (of net revenue)</t>
  </si>
  <si>
    <t>Wholesalers (of net revenue)</t>
  </si>
  <si>
    <t>Total Expenses</t>
  </si>
  <si>
    <t>Adjusted EBITDA</t>
  </si>
  <si>
    <t>Total Revenue ($M)</t>
  </si>
  <si>
    <t>Market Penetration</t>
  </si>
  <si>
    <t>After Tax Cash Flow</t>
  </si>
  <si>
    <t>Probability Adjusted AT Cash Flow</t>
  </si>
  <si>
    <t>Probability based on FDA Approval</t>
  </si>
  <si>
    <t>NPV After Tax Cash Flow</t>
  </si>
  <si>
    <t>NPV Probability Adj AT Cash Flow</t>
  </si>
  <si>
    <t>Discount</t>
  </si>
  <si>
    <t>NPV ($M)</t>
  </si>
  <si>
    <t>FDA Approval</t>
  </si>
  <si>
    <t>Cost/dose</t>
  </si>
  <si>
    <t>Avg number of doses/year</t>
  </si>
  <si>
    <t>Mkt (M)</t>
  </si>
  <si>
    <t>Mkt Share (%)</t>
  </si>
  <si>
    <t>Income Taxes (IRS &amp; State)</t>
  </si>
  <si>
    <t>Tax Rate</t>
  </si>
  <si>
    <t>NOL</t>
  </si>
  <si>
    <t>BioVentures royalties (of net revenue)</t>
  </si>
  <si>
    <t>NPV in year 4 upon FDA approval</t>
  </si>
  <si>
    <t>Valuation at P/E of 10 at peak revenue</t>
  </si>
  <si>
    <t>Assumes equal revenue from people with 1-5 outbreaks per year and equal revenue outside U.S.</t>
  </si>
  <si>
    <t>SquareX Pharmaceutical Corporation</t>
  </si>
  <si>
    <t>NPV upon FDA approval with more realistic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</si>
</sst>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0.0%"/>
    <numFmt numFmtId="169" formatCode="&quot;Year-&quot;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164" fontId="5" fillId="0" borderId="0" xfId="0" applyNumberFormat="1" applyFont="1"/>
    <xf numFmtId="165" fontId="5" fillId="0" borderId="0" xfId="22" applyNumberFormat="1" applyFont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wrapText="1"/>
    </xf>
    <xf numFmtId="0" fontId="5" fillId="3" borderId="0" xfId="0" applyFont="1" applyFill="1"/>
    <xf numFmtId="165" fontId="5" fillId="3" borderId="0" xfId="22" applyNumberFormat="1" applyFont="1" applyFill="1"/>
    <xf numFmtId="1" fontId="7" fillId="0" borderId="0" xfId="0" applyNumberFormat="1" applyFont="1" applyAlignment="1">
      <alignment horizontal="left" wrapText="1"/>
    </xf>
    <xf numFmtId="1" fontId="7" fillId="0" borderId="0" xfId="0" applyNumberFormat="1" applyFont="1" applyAlignment="1">
      <alignment wrapText="1"/>
    </xf>
    <xf numFmtId="169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/>
    <xf numFmtId="9" fontId="7" fillId="0" borderId="0" xfId="0" applyNumberFormat="1" applyFont="1"/>
    <xf numFmtId="164" fontId="7" fillId="0" borderId="0" xfId="0" applyNumberFormat="1" applyFont="1"/>
    <xf numFmtId="164" fontId="10" fillId="0" borderId="4" xfId="0" applyNumberFormat="1" applyFont="1" applyBorder="1" applyAlignment="1">
      <alignment horizontal="center" wrapText="1"/>
    </xf>
    <xf numFmtId="164" fontId="7" fillId="0" borderId="0" xfId="0" applyNumberFormat="1" applyFont="1" applyAlignment="1">
      <alignment wrapText="1"/>
    </xf>
    <xf numFmtId="9" fontId="7" fillId="0" borderId="0" xfId="23" applyFont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166" fontId="7" fillId="2" borderId="0" xfId="22" applyNumberFormat="1" applyFont="1" applyFill="1"/>
    <xf numFmtId="9" fontId="7" fillId="2" borderId="0" xfId="0" applyNumberFormat="1" applyFont="1" applyFill="1"/>
    <xf numFmtId="167" fontId="7" fillId="0" borderId="0" xfId="22" applyNumberFormat="1" applyFont="1"/>
    <xf numFmtId="165" fontId="7" fillId="0" borderId="0" xfId="22" applyNumberFormat="1" applyFont="1"/>
    <xf numFmtId="0" fontId="7" fillId="2" borderId="0" xfId="0" applyFont="1" applyFill="1" applyAlignment="1">
      <alignment horizontal="left"/>
    </xf>
    <xf numFmtId="165" fontId="7" fillId="2" borderId="0" xfId="22" applyNumberFormat="1" applyFont="1" applyFill="1"/>
    <xf numFmtId="165" fontId="7" fillId="0" borderId="0" xfId="22" applyNumberFormat="1" applyFont="1" applyFill="1"/>
    <xf numFmtId="0" fontId="7" fillId="3" borderId="1" xfId="0" applyFont="1" applyFill="1" applyBorder="1" applyAlignment="1">
      <alignment horizontal="left"/>
    </xf>
    <xf numFmtId="165" fontId="7" fillId="3" borderId="1" xfId="22" applyNumberFormat="1" applyFont="1" applyFill="1" applyBorder="1"/>
    <xf numFmtId="166" fontId="7" fillId="3" borderId="1" xfId="22" applyNumberFormat="1" applyFont="1" applyFill="1" applyBorder="1"/>
    <xf numFmtId="166" fontId="7" fillId="0" borderId="0" xfId="22" applyNumberFormat="1" applyFont="1"/>
    <xf numFmtId="168" fontId="7" fillId="0" borderId="0" xfId="23" applyNumberFormat="1" applyFont="1"/>
    <xf numFmtId="0" fontId="7" fillId="0" borderId="1" xfId="0" applyFont="1" applyBorder="1" applyAlignment="1">
      <alignment horizontal="left"/>
    </xf>
    <xf numFmtId="9" fontId="7" fillId="0" borderId="1" xfId="23" applyFont="1" applyBorder="1"/>
    <xf numFmtId="166" fontId="7" fillId="0" borderId="1" xfId="22" applyNumberFormat="1" applyFont="1" applyBorder="1"/>
    <xf numFmtId="165" fontId="11" fillId="0" borderId="0" xfId="22" applyNumberFormat="1" applyFont="1" applyAlignment="1">
      <alignment horizontal="center"/>
    </xf>
    <xf numFmtId="0" fontId="7" fillId="3" borderId="2" xfId="0" applyFont="1" applyFill="1" applyBorder="1" applyAlignment="1">
      <alignment horizontal="left"/>
    </xf>
    <xf numFmtId="3" fontId="7" fillId="3" borderId="2" xfId="0" applyNumberFormat="1" applyFont="1" applyFill="1" applyBorder="1"/>
    <xf numFmtId="166" fontId="7" fillId="3" borderId="2" xfId="22" applyNumberFormat="1" applyFont="1" applyFill="1" applyBorder="1"/>
    <xf numFmtId="0" fontId="7" fillId="2" borderId="0" xfId="0" applyFont="1" applyFill="1"/>
    <xf numFmtId="168" fontId="7" fillId="2" borderId="0" xfId="23" applyNumberFormat="1" applyFont="1" applyFill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/>
    <xf numFmtId="166" fontId="7" fillId="3" borderId="3" xfId="22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168" fontId="7" fillId="2" borderId="0" xfId="23" applyNumberFormat="1" applyFont="1" applyFill="1" applyAlignment="1">
      <alignment horizontal="center"/>
    </xf>
    <xf numFmtId="1" fontId="7" fillId="2" borderId="0" xfId="22" applyNumberFormat="1" applyFont="1" applyFill="1" applyAlignment="1">
      <alignment horizontal="center"/>
    </xf>
    <xf numFmtId="0" fontId="7" fillId="0" borderId="3" xfId="0" applyFont="1" applyBorder="1" applyAlignment="1">
      <alignment horizontal="left"/>
    </xf>
    <xf numFmtId="168" fontId="7" fillId="2" borderId="3" xfId="23" applyNumberFormat="1" applyFont="1" applyFill="1" applyBorder="1" applyAlignment="1">
      <alignment horizontal="center"/>
    </xf>
    <xf numFmtId="168" fontId="7" fillId="0" borderId="3" xfId="23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" fontId="12" fillId="0" borderId="0" xfId="0" applyNumberFormat="1" applyFont="1" applyAlignment="1">
      <alignment horizontal="left" wrapText="1"/>
    </xf>
    <xf numFmtId="1" fontId="4" fillId="2" borderId="3" xfId="22" applyNumberFormat="1" applyFont="1" applyFill="1" applyBorder="1" applyAlignment="1">
      <alignment horizontal="center"/>
    </xf>
    <xf numFmtId="165" fontId="4" fillId="2" borderId="3" xfId="22" applyNumberFormat="1" applyFont="1" applyFill="1" applyBorder="1" applyAlignment="1">
      <alignment horizontal="center"/>
    </xf>
    <xf numFmtId="165" fontId="4" fillId="2" borderId="5" xfId="22" applyNumberFormat="1" applyFont="1" applyFill="1" applyBorder="1"/>
    <xf numFmtId="166" fontId="4" fillId="3" borderId="2" xfId="22" applyNumberFormat="1" applyFont="1" applyFill="1" applyBorder="1"/>
    <xf numFmtId="164" fontId="6" fillId="0" borderId="0" xfId="0" applyNumberFormat="1" applyFont="1" applyBorder="1"/>
    <xf numFmtId="164" fontId="5" fillId="0" borderId="0" xfId="0" applyNumberFormat="1" applyFont="1" applyBorder="1"/>
    <xf numFmtId="164" fontId="7" fillId="0" borderId="3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wrapText="1"/>
    </xf>
  </cellXfs>
  <cellStyles count="24">
    <cellStyle name="Comma" xfId="22" builtinId="3"/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1" builtinId="8" hidden="1"/>
    <cellStyle name="Hyperlink" xfId="3" builtinId="8" hidden="1"/>
    <cellStyle name="Normal" xfId="0" builtinId="0"/>
    <cellStyle name="Percent" xfId="2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showGridLines="0" tabSelected="1" topLeftCell="A18" zoomScale="90" zoomScaleNormal="90" zoomScalePageLayoutView="125" workbookViewId="0">
      <selection activeCell="D43" sqref="D43"/>
    </sheetView>
  </sheetViews>
  <sheetFormatPr defaultColWidth="10.875" defaultRowHeight="12" x14ac:dyDescent="0.2"/>
  <cols>
    <col min="1" max="1" width="27.875" style="4" customWidth="1"/>
    <col min="2" max="2" width="6.25" style="4" customWidth="1"/>
    <col min="3" max="3" width="9" style="1" customWidth="1"/>
    <col min="4" max="11" width="6.875" style="2" customWidth="1"/>
    <col min="12" max="12" width="8.875" style="2" customWidth="1"/>
    <col min="13" max="19" width="6.875" style="2" customWidth="1"/>
    <col min="20" max="20" width="8.875" style="1" customWidth="1"/>
    <col min="21" max="16384" width="10.875" style="1"/>
  </cols>
  <sheetData>
    <row r="1" spans="1:19" s="5" customFormat="1" ht="41.25" customHeight="1" x14ac:dyDescent="0.3">
      <c r="A1" s="55" t="s">
        <v>28</v>
      </c>
      <c r="B1" s="8"/>
      <c r="C1" s="9"/>
      <c r="D1" s="10">
        <v>1</v>
      </c>
      <c r="E1" s="10">
        <f>+D1+1</f>
        <v>2</v>
      </c>
      <c r="F1" s="10">
        <f t="shared" ref="F1" si="0">+E1+1</f>
        <v>3</v>
      </c>
      <c r="G1" s="10">
        <f t="shared" ref="G1:S1" si="1">+F1+1</f>
        <v>4</v>
      </c>
      <c r="H1" s="10">
        <f t="shared" si="1"/>
        <v>5</v>
      </c>
      <c r="I1" s="10">
        <f t="shared" si="1"/>
        <v>6</v>
      </c>
      <c r="J1" s="10">
        <f t="shared" si="1"/>
        <v>7</v>
      </c>
      <c r="K1" s="10">
        <f t="shared" si="1"/>
        <v>8</v>
      </c>
      <c r="L1" s="10">
        <f t="shared" si="1"/>
        <v>9</v>
      </c>
      <c r="M1" s="10">
        <f t="shared" si="1"/>
        <v>10</v>
      </c>
      <c r="N1" s="10">
        <f t="shared" si="1"/>
        <v>11</v>
      </c>
      <c r="O1" s="10">
        <f t="shared" si="1"/>
        <v>12</v>
      </c>
      <c r="P1" s="10">
        <f t="shared" si="1"/>
        <v>13</v>
      </c>
      <c r="Q1" s="10">
        <f t="shared" si="1"/>
        <v>14</v>
      </c>
      <c r="R1" s="10">
        <f t="shared" si="1"/>
        <v>15</v>
      </c>
      <c r="S1" s="10">
        <f t="shared" si="1"/>
        <v>16</v>
      </c>
    </row>
    <row r="2" spans="1:19" s="5" customFormat="1" ht="12.75" x14ac:dyDescent="0.2">
      <c r="A2" s="8"/>
      <c r="B2" s="8"/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38.25" x14ac:dyDescent="0.2">
      <c r="A3" s="12"/>
      <c r="B3" s="13"/>
      <c r="C3" s="14"/>
      <c r="D3" s="15"/>
      <c r="E3" s="15"/>
      <c r="F3" s="15"/>
      <c r="G3" s="15"/>
      <c r="H3" s="16" t="s">
        <v>16</v>
      </c>
      <c r="I3" s="15"/>
      <c r="J3" s="15"/>
      <c r="K3" s="15"/>
      <c r="L3" s="15"/>
      <c r="M3" s="15"/>
      <c r="N3" s="15"/>
      <c r="O3" s="15"/>
      <c r="P3" s="15"/>
      <c r="Q3" s="15"/>
      <c r="R3" s="13"/>
      <c r="S3" s="17"/>
    </row>
    <row r="4" spans="1:19" ht="12.75" x14ac:dyDescent="0.2">
      <c r="A4" s="12" t="s">
        <v>8</v>
      </c>
      <c r="B4" s="13"/>
      <c r="C4" s="13"/>
      <c r="D4" s="15"/>
      <c r="E4" s="15"/>
      <c r="F4" s="15"/>
      <c r="G4" s="15"/>
      <c r="H4" s="18">
        <v>0.15</v>
      </c>
      <c r="I4" s="18">
        <v>0.3</v>
      </c>
      <c r="J4" s="18">
        <v>0.5</v>
      </c>
      <c r="K4" s="18">
        <v>0.8</v>
      </c>
      <c r="L4" s="18">
        <v>1</v>
      </c>
      <c r="M4" s="18">
        <v>1</v>
      </c>
      <c r="N4" s="18">
        <v>1</v>
      </c>
      <c r="O4" s="18">
        <v>1</v>
      </c>
      <c r="P4" s="18">
        <v>0.9</v>
      </c>
      <c r="Q4" s="18">
        <v>0.8</v>
      </c>
      <c r="R4" s="18">
        <v>0.7</v>
      </c>
      <c r="S4" s="18">
        <v>0.6</v>
      </c>
    </row>
    <row r="5" spans="1:19" ht="12.75" x14ac:dyDescent="0.2">
      <c r="A5" s="12"/>
      <c r="B5" s="19" t="s">
        <v>19</v>
      </c>
      <c r="C5" s="20" t="s">
        <v>20</v>
      </c>
      <c r="D5" s="15"/>
      <c r="E5" s="15"/>
      <c r="F5" s="15"/>
      <c r="G5" s="15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s="3" customFormat="1" ht="12.75" x14ac:dyDescent="0.2">
      <c r="A6" s="12" t="s">
        <v>1</v>
      </c>
      <c r="B6" s="21">
        <v>7</v>
      </c>
      <c r="C6" s="22">
        <v>0.5</v>
      </c>
      <c r="D6" s="23"/>
      <c r="E6" s="23">
        <v>0</v>
      </c>
      <c r="F6" s="23">
        <v>0</v>
      </c>
      <c r="G6" s="23">
        <v>0</v>
      </c>
      <c r="H6" s="23">
        <f t="shared" ref="H6:S6" si="2">$B$6*$C$6*H$4</f>
        <v>0.52500000000000002</v>
      </c>
      <c r="I6" s="23">
        <f t="shared" si="2"/>
        <v>1.05</v>
      </c>
      <c r="J6" s="23">
        <f t="shared" si="2"/>
        <v>1.75</v>
      </c>
      <c r="K6" s="23">
        <f t="shared" si="2"/>
        <v>2.8000000000000003</v>
      </c>
      <c r="L6" s="23">
        <f t="shared" si="2"/>
        <v>3.5</v>
      </c>
      <c r="M6" s="23">
        <f t="shared" si="2"/>
        <v>3.5</v>
      </c>
      <c r="N6" s="23">
        <f t="shared" si="2"/>
        <v>3.5</v>
      </c>
      <c r="O6" s="23">
        <f t="shared" si="2"/>
        <v>3.5</v>
      </c>
      <c r="P6" s="23">
        <f t="shared" si="2"/>
        <v>3.15</v>
      </c>
      <c r="Q6" s="23">
        <f t="shared" si="2"/>
        <v>2.8000000000000003</v>
      </c>
      <c r="R6" s="23">
        <f t="shared" si="2"/>
        <v>2.4499999999999997</v>
      </c>
      <c r="S6" s="23">
        <f t="shared" si="2"/>
        <v>2.1</v>
      </c>
    </row>
    <row r="7" spans="1:19" s="3" customFormat="1" ht="12.75" x14ac:dyDescent="0.2">
      <c r="A7" s="12" t="s">
        <v>17</v>
      </c>
      <c r="B7" s="15"/>
      <c r="C7" s="24"/>
      <c r="D7" s="24">
        <v>0</v>
      </c>
      <c r="E7" s="24">
        <v>0</v>
      </c>
      <c r="F7" s="24">
        <v>0</v>
      </c>
      <c r="G7" s="24">
        <v>0</v>
      </c>
      <c r="H7" s="15">
        <v>135</v>
      </c>
      <c r="I7" s="15">
        <f>H7</f>
        <v>135</v>
      </c>
      <c r="J7" s="15">
        <f t="shared" ref="J7:S7" si="3">I7</f>
        <v>135</v>
      </c>
      <c r="K7" s="15">
        <f t="shared" si="3"/>
        <v>135</v>
      </c>
      <c r="L7" s="15">
        <f t="shared" si="3"/>
        <v>135</v>
      </c>
      <c r="M7" s="15">
        <f t="shared" si="3"/>
        <v>135</v>
      </c>
      <c r="N7" s="15">
        <f t="shared" si="3"/>
        <v>135</v>
      </c>
      <c r="O7" s="15">
        <f t="shared" si="3"/>
        <v>135</v>
      </c>
      <c r="P7" s="15">
        <f t="shared" si="3"/>
        <v>135</v>
      </c>
      <c r="Q7" s="15">
        <f t="shared" si="3"/>
        <v>135</v>
      </c>
      <c r="R7" s="15">
        <f t="shared" si="3"/>
        <v>135</v>
      </c>
      <c r="S7" s="15">
        <f t="shared" si="3"/>
        <v>135</v>
      </c>
    </row>
    <row r="8" spans="1:19" s="3" customFormat="1" ht="12.75" x14ac:dyDescent="0.2">
      <c r="A8" s="25" t="s">
        <v>18</v>
      </c>
      <c r="B8" s="24"/>
      <c r="C8" s="24"/>
      <c r="D8" s="24"/>
      <c r="E8" s="24"/>
      <c r="F8" s="24"/>
      <c r="G8" s="24"/>
      <c r="H8" s="26">
        <v>2</v>
      </c>
      <c r="I8" s="27">
        <f>H8</f>
        <v>2</v>
      </c>
      <c r="J8" s="27">
        <f t="shared" ref="J8:S8" si="4">I8</f>
        <v>2</v>
      </c>
      <c r="K8" s="27">
        <f t="shared" si="4"/>
        <v>2</v>
      </c>
      <c r="L8" s="27">
        <f t="shared" si="4"/>
        <v>2</v>
      </c>
      <c r="M8" s="27">
        <f t="shared" si="4"/>
        <v>2</v>
      </c>
      <c r="N8" s="27">
        <f t="shared" si="4"/>
        <v>2</v>
      </c>
      <c r="O8" s="27">
        <f t="shared" si="4"/>
        <v>2</v>
      </c>
      <c r="P8" s="27">
        <f t="shared" si="4"/>
        <v>2</v>
      </c>
      <c r="Q8" s="27">
        <f t="shared" si="4"/>
        <v>2</v>
      </c>
      <c r="R8" s="27">
        <f t="shared" si="4"/>
        <v>2</v>
      </c>
      <c r="S8" s="27">
        <f t="shared" si="4"/>
        <v>2</v>
      </c>
    </row>
    <row r="9" spans="1:19" s="7" customFormat="1" ht="12.75" x14ac:dyDescent="0.2">
      <c r="A9" s="28" t="s">
        <v>7</v>
      </c>
      <c r="B9" s="29"/>
      <c r="C9" s="29"/>
      <c r="D9" s="30">
        <f>D6*D7/1000000</f>
        <v>0</v>
      </c>
      <c r="E9" s="30">
        <f>E6*E7/1000000</f>
        <v>0</v>
      </c>
      <c r="F9" s="30">
        <f>F6*F7/1000000</f>
        <v>0</v>
      </c>
      <c r="G9" s="30">
        <f>G6*G7/1000000</f>
        <v>0</v>
      </c>
      <c r="H9" s="30">
        <f>H6*H7*H8</f>
        <v>141.75</v>
      </c>
      <c r="I9" s="30">
        <f t="shared" ref="I9:S9" si="5">I6*I7*I8</f>
        <v>283.5</v>
      </c>
      <c r="J9" s="30">
        <f t="shared" si="5"/>
        <v>472.5</v>
      </c>
      <c r="K9" s="30">
        <f t="shared" si="5"/>
        <v>756.00000000000011</v>
      </c>
      <c r="L9" s="30">
        <f t="shared" si="5"/>
        <v>945</v>
      </c>
      <c r="M9" s="30">
        <f t="shared" si="5"/>
        <v>945</v>
      </c>
      <c r="N9" s="30">
        <f t="shared" si="5"/>
        <v>945</v>
      </c>
      <c r="O9" s="30">
        <f t="shared" si="5"/>
        <v>945</v>
      </c>
      <c r="P9" s="30">
        <f t="shared" si="5"/>
        <v>850.5</v>
      </c>
      <c r="Q9" s="30">
        <f t="shared" si="5"/>
        <v>756.00000000000011</v>
      </c>
      <c r="R9" s="30">
        <f t="shared" si="5"/>
        <v>661.49999999999989</v>
      </c>
      <c r="S9" s="30">
        <f t="shared" si="5"/>
        <v>567</v>
      </c>
    </row>
    <row r="10" spans="1:19" ht="12.75" x14ac:dyDescent="0.2">
      <c r="A10" s="12"/>
      <c r="B10" s="13"/>
      <c r="C10" s="1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12.75" customHeight="1" x14ac:dyDescent="0.2">
      <c r="A11" s="12" t="s">
        <v>2</v>
      </c>
      <c r="B11" s="13"/>
      <c r="C11" s="13"/>
      <c r="D11" s="31">
        <v>-6.4</v>
      </c>
      <c r="E11" s="31">
        <v>-12.6</v>
      </c>
      <c r="F11" s="31">
        <v>-23</v>
      </c>
      <c r="G11" s="31">
        <v>-23</v>
      </c>
      <c r="H11" s="31">
        <v>-3</v>
      </c>
      <c r="I11" s="31">
        <f>H11*1.03</f>
        <v>-3.09</v>
      </c>
      <c r="J11" s="31">
        <f t="shared" ref="J11:S11" si="6">I11*1.03</f>
        <v>-3.1827000000000001</v>
      </c>
      <c r="K11" s="31">
        <f t="shared" si="6"/>
        <v>-3.278181</v>
      </c>
      <c r="L11" s="31">
        <f t="shared" si="6"/>
        <v>-3.3765264300000002</v>
      </c>
      <c r="M11" s="31">
        <f t="shared" si="6"/>
        <v>-3.4778222229000004</v>
      </c>
      <c r="N11" s="31">
        <f t="shared" si="6"/>
        <v>-3.5821568895870004</v>
      </c>
      <c r="O11" s="31">
        <f t="shared" si="6"/>
        <v>-3.6896215962746104</v>
      </c>
      <c r="P11" s="31">
        <f t="shared" si="6"/>
        <v>-3.8003102441628487</v>
      </c>
      <c r="Q11" s="31">
        <f t="shared" si="6"/>
        <v>-3.914319551487734</v>
      </c>
      <c r="R11" s="31">
        <f t="shared" si="6"/>
        <v>-4.0317491380323665</v>
      </c>
      <c r="S11" s="31">
        <f t="shared" si="6"/>
        <v>-4.1527016121733373</v>
      </c>
    </row>
    <row r="12" spans="1:19" ht="12.75" x14ac:dyDescent="0.2">
      <c r="A12" s="12" t="s">
        <v>0</v>
      </c>
      <c r="B12" s="18">
        <v>0.15</v>
      </c>
      <c r="C12" s="18"/>
      <c r="D12" s="31">
        <f t="shared" ref="D12:S12" si="7">-$B12*D$9</f>
        <v>0</v>
      </c>
      <c r="E12" s="31">
        <f t="shared" si="7"/>
        <v>0</v>
      </c>
      <c r="F12" s="31">
        <f t="shared" si="7"/>
        <v>0</v>
      </c>
      <c r="G12" s="31"/>
      <c r="H12" s="31">
        <f t="shared" si="7"/>
        <v>-21.262499999999999</v>
      </c>
      <c r="I12" s="31">
        <f t="shared" si="7"/>
        <v>-42.524999999999999</v>
      </c>
      <c r="J12" s="31">
        <f t="shared" si="7"/>
        <v>-70.875</v>
      </c>
      <c r="K12" s="31">
        <f t="shared" si="7"/>
        <v>-113.40000000000002</v>
      </c>
      <c r="L12" s="31">
        <f t="shared" si="7"/>
        <v>-141.75</v>
      </c>
      <c r="M12" s="31">
        <f t="shared" si="7"/>
        <v>-141.75</v>
      </c>
      <c r="N12" s="31">
        <f t="shared" si="7"/>
        <v>-141.75</v>
      </c>
      <c r="O12" s="31">
        <f t="shared" si="7"/>
        <v>-141.75</v>
      </c>
      <c r="P12" s="31">
        <f t="shared" si="7"/>
        <v>-127.57499999999999</v>
      </c>
      <c r="Q12" s="31">
        <f t="shared" si="7"/>
        <v>-113.40000000000002</v>
      </c>
      <c r="R12" s="31">
        <f t="shared" si="7"/>
        <v>-99.22499999999998</v>
      </c>
      <c r="S12" s="31">
        <f t="shared" si="7"/>
        <v>-85.05</v>
      </c>
    </row>
    <row r="13" spans="1:19" ht="12.75" x14ac:dyDescent="0.2">
      <c r="A13" s="12" t="s">
        <v>24</v>
      </c>
      <c r="B13" s="32">
        <v>5.5E-2</v>
      </c>
      <c r="C13" s="18"/>
      <c r="D13" s="31">
        <f t="shared" ref="D13:I13" si="8">-$B13*(D$9+D$12)</f>
        <v>0</v>
      </c>
      <c r="E13" s="31">
        <f t="shared" si="8"/>
        <v>0</v>
      </c>
      <c r="F13" s="31">
        <f t="shared" si="8"/>
        <v>0</v>
      </c>
      <c r="G13" s="31"/>
      <c r="H13" s="31">
        <f t="shared" si="8"/>
        <v>-6.6268124999999998</v>
      </c>
      <c r="I13" s="31">
        <f t="shared" si="8"/>
        <v>-13.253625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</row>
    <row r="14" spans="1:19" ht="12.75" x14ac:dyDescent="0.2">
      <c r="A14" s="12" t="s">
        <v>3</v>
      </c>
      <c r="B14" s="18">
        <v>0.2</v>
      </c>
      <c r="C14" s="18"/>
      <c r="D14" s="31">
        <f t="shared" ref="D14:S15" si="9">-$B14*(D$9+D$12)</f>
        <v>0</v>
      </c>
      <c r="E14" s="31">
        <f t="shared" si="9"/>
        <v>0</v>
      </c>
      <c r="F14" s="31">
        <f t="shared" si="9"/>
        <v>0</v>
      </c>
      <c r="G14" s="31"/>
      <c r="H14" s="31">
        <f t="shared" si="9"/>
        <v>-24.0975</v>
      </c>
      <c r="I14" s="31">
        <f t="shared" si="9"/>
        <v>-48.195</v>
      </c>
      <c r="J14" s="31">
        <f t="shared" si="9"/>
        <v>-80.325000000000003</v>
      </c>
      <c r="K14" s="31">
        <f t="shared" si="9"/>
        <v>-128.52000000000004</v>
      </c>
      <c r="L14" s="31">
        <f t="shared" si="9"/>
        <v>-160.65</v>
      </c>
      <c r="M14" s="31">
        <f t="shared" si="9"/>
        <v>-160.65</v>
      </c>
      <c r="N14" s="31">
        <f t="shared" si="9"/>
        <v>-160.65</v>
      </c>
      <c r="O14" s="31">
        <f t="shared" si="9"/>
        <v>-160.65</v>
      </c>
      <c r="P14" s="31">
        <f t="shared" si="9"/>
        <v>-144.58500000000001</v>
      </c>
      <c r="Q14" s="31">
        <f t="shared" si="9"/>
        <v>-128.52000000000004</v>
      </c>
      <c r="R14" s="31">
        <f t="shared" si="9"/>
        <v>-112.45499999999998</v>
      </c>
      <c r="S14" s="31">
        <f t="shared" si="9"/>
        <v>-96.39</v>
      </c>
    </row>
    <row r="15" spans="1:19" ht="12.75" x14ac:dyDescent="0.2">
      <c r="A15" s="12" t="s">
        <v>4</v>
      </c>
      <c r="B15" s="18">
        <v>0.15</v>
      </c>
      <c r="C15" s="18"/>
      <c r="D15" s="31">
        <f t="shared" si="9"/>
        <v>0</v>
      </c>
      <c r="E15" s="31">
        <f t="shared" si="9"/>
        <v>0</v>
      </c>
      <c r="F15" s="31">
        <f t="shared" si="9"/>
        <v>0</v>
      </c>
      <c r="G15" s="31"/>
      <c r="H15" s="31">
        <f t="shared" si="9"/>
        <v>-18.073124999999997</v>
      </c>
      <c r="I15" s="31">
        <f t="shared" si="9"/>
        <v>-36.146249999999995</v>
      </c>
      <c r="J15" s="31">
        <f t="shared" si="9"/>
        <v>-60.243749999999999</v>
      </c>
      <c r="K15" s="31">
        <f t="shared" si="9"/>
        <v>-96.390000000000015</v>
      </c>
      <c r="L15" s="31">
        <f t="shared" si="9"/>
        <v>-120.4875</v>
      </c>
      <c r="M15" s="31">
        <f t="shared" si="9"/>
        <v>-120.4875</v>
      </c>
      <c r="N15" s="31">
        <f t="shared" si="9"/>
        <v>-120.4875</v>
      </c>
      <c r="O15" s="31">
        <f t="shared" si="9"/>
        <v>-120.4875</v>
      </c>
      <c r="P15" s="31">
        <f t="shared" si="9"/>
        <v>-108.43874999999998</v>
      </c>
      <c r="Q15" s="31">
        <f t="shared" si="9"/>
        <v>-96.390000000000015</v>
      </c>
      <c r="R15" s="31">
        <f t="shared" si="9"/>
        <v>-84.341249999999974</v>
      </c>
      <c r="S15" s="31">
        <f t="shared" si="9"/>
        <v>-72.29249999999999</v>
      </c>
    </row>
    <row r="16" spans="1:19" ht="12.75" x14ac:dyDescent="0.2">
      <c r="A16" s="33" t="s">
        <v>5</v>
      </c>
      <c r="B16" s="34"/>
      <c r="C16" s="34"/>
      <c r="D16" s="35">
        <f t="shared" ref="D16:S16" si="10">SUM(D11:D15)</f>
        <v>-6.4</v>
      </c>
      <c r="E16" s="35">
        <f t="shared" si="10"/>
        <v>-12.6</v>
      </c>
      <c r="F16" s="35">
        <f t="shared" si="10"/>
        <v>-23</v>
      </c>
      <c r="G16" s="35">
        <f t="shared" ref="G16" si="11">SUM(G11:G15)</f>
        <v>-23</v>
      </c>
      <c r="H16" s="35">
        <f t="shared" si="10"/>
        <v>-73.05993749999999</v>
      </c>
      <c r="I16" s="35">
        <f t="shared" si="10"/>
        <v>-143.20987500000001</v>
      </c>
      <c r="J16" s="35">
        <f t="shared" si="10"/>
        <v>-214.62645000000001</v>
      </c>
      <c r="K16" s="35">
        <f t="shared" si="10"/>
        <v>-341.58818100000008</v>
      </c>
      <c r="L16" s="35">
        <f t="shared" si="10"/>
        <v>-426.26402643</v>
      </c>
      <c r="M16" s="35">
        <f t="shared" si="10"/>
        <v>-426.36532222290003</v>
      </c>
      <c r="N16" s="35">
        <f t="shared" si="10"/>
        <v>-426.46965688958704</v>
      </c>
      <c r="O16" s="35">
        <f t="shared" si="10"/>
        <v>-426.57712159627459</v>
      </c>
      <c r="P16" s="35">
        <f t="shared" si="10"/>
        <v>-384.39906024416285</v>
      </c>
      <c r="Q16" s="35">
        <f t="shared" si="10"/>
        <v>-342.22431955148784</v>
      </c>
      <c r="R16" s="35">
        <f t="shared" si="10"/>
        <v>-300.05299913803231</v>
      </c>
      <c r="S16" s="35">
        <f t="shared" si="10"/>
        <v>-257.88520161217332</v>
      </c>
    </row>
    <row r="17" spans="1:19" ht="12.75" x14ac:dyDescent="0.2">
      <c r="A17" s="13"/>
      <c r="B17" s="13"/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12.75" x14ac:dyDescent="0.2">
      <c r="A18" s="12" t="s">
        <v>6</v>
      </c>
      <c r="B18" s="24"/>
      <c r="C18" s="24"/>
      <c r="D18" s="31">
        <f t="shared" ref="D18:S18" si="12">D9+D16</f>
        <v>-6.4</v>
      </c>
      <c r="E18" s="31">
        <f t="shared" si="12"/>
        <v>-12.6</v>
      </c>
      <c r="F18" s="31">
        <f t="shared" si="12"/>
        <v>-23</v>
      </c>
      <c r="G18" s="31">
        <f t="shared" ref="G18" si="13">G9+G16</f>
        <v>-23</v>
      </c>
      <c r="H18" s="31">
        <f t="shared" si="12"/>
        <v>68.69006250000001</v>
      </c>
      <c r="I18" s="31">
        <f t="shared" si="12"/>
        <v>140.29012499999999</v>
      </c>
      <c r="J18" s="31">
        <f t="shared" si="12"/>
        <v>257.87355000000002</v>
      </c>
      <c r="K18" s="31">
        <f t="shared" si="12"/>
        <v>414.41181900000004</v>
      </c>
      <c r="L18" s="31">
        <f t="shared" si="12"/>
        <v>518.73597356999994</v>
      </c>
      <c r="M18" s="31">
        <f t="shared" si="12"/>
        <v>518.63467777710002</v>
      </c>
      <c r="N18" s="31">
        <f t="shared" si="12"/>
        <v>518.53034311041301</v>
      </c>
      <c r="O18" s="31">
        <f t="shared" si="12"/>
        <v>518.42287840372546</v>
      </c>
      <c r="P18" s="31">
        <f t="shared" si="12"/>
        <v>466.10093975583715</v>
      </c>
      <c r="Q18" s="31">
        <f t="shared" si="12"/>
        <v>413.77568044851228</v>
      </c>
      <c r="R18" s="31">
        <f t="shared" si="12"/>
        <v>361.44700086196758</v>
      </c>
      <c r="S18" s="31">
        <f t="shared" si="12"/>
        <v>309.11479838782668</v>
      </c>
    </row>
    <row r="19" spans="1:19" ht="15" x14ac:dyDescent="0.35">
      <c r="A19" s="12"/>
      <c r="B19" s="36" t="s">
        <v>22</v>
      </c>
      <c r="C19" s="36" t="s">
        <v>23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ht="12.75" x14ac:dyDescent="0.2">
      <c r="A20" s="12" t="s">
        <v>21</v>
      </c>
      <c r="B20" s="14">
        <f>ROUND(0.21*(1-0.1)+0.1,2)</f>
        <v>0.28999999999999998</v>
      </c>
      <c r="C20" s="31">
        <v>0.2</v>
      </c>
      <c r="D20" s="31">
        <f>-MAX($B$20*SUM($D$18:D$18)+$C$20,0)</f>
        <v>0</v>
      </c>
      <c r="E20" s="31">
        <f>-MAX($B$20*SUM($D$18:E$18)+SUM($D$20:D$20)+$C$20,0)</f>
        <v>0</v>
      </c>
      <c r="F20" s="31">
        <f>-MAX($B$20*SUM($D$18:F$18)+SUM($D$20:E$20)+$C$20,0)</f>
        <v>0</v>
      </c>
      <c r="G20" s="31">
        <f>-MAX($B$20*SUM($D$18:G$18)+SUM($D$20:F$20)+$C$20,0)</f>
        <v>0</v>
      </c>
      <c r="H20" s="31">
        <f>-MAX($B$20*SUM($D$18:H$18)+SUM($D$20:F$20)+$C$20,0)</f>
        <v>-1.2701181250000029</v>
      </c>
      <c r="I20" s="31">
        <f>-MAX($B$20*SUM($D$18:I$18)+SUM($D$20:H$20)+$C$20,0)</f>
        <v>-40.684136249999995</v>
      </c>
      <c r="J20" s="31">
        <f>-MAX($B$20*SUM($D$18:J$18)+SUM($D$20:I$20)+$C$20,0)</f>
        <v>-74.783329499999994</v>
      </c>
      <c r="K20" s="31">
        <f>-MAX($B$20*SUM($D$18:K$18)+SUM($D$20:J$20)+$C$20,0)</f>
        <v>-120.17942751</v>
      </c>
      <c r="L20" s="31">
        <f>-MAX($B$20*SUM($D$18:L$18)+SUM($D$20:K$20)+$C$20,0)</f>
        <v>-150.43343233529998</v>
      </c>
      <c r="M20" s="31">
        <f>-MAX($B$20*SUM($D$18:M$18)+SUM($D$20:L$20)+$C$20,0)</f>
        <v>-150.40405655535898</v>
      </c>
      <c r="N20" s="31">
        <f>-MAX($B$20*SUM($D$18:N$18)+SUM($D$20:M$20)+$C$20,0)</f>
        <v>-150.37379950201984</v>
      </c>
      <c r="O20" s="31">
        <f>-MAX($B$20*SUM($D$18:O$18)+SUM($D$20:N$20)+$C$20,0)</f>
        <v>-150.34263473708023</v>
      </c>
      <c r="P20" s="31">
        <f>-MAX($B$20*SUM($D$18:P$18)+SUM($D$20:O$20)+$C$20,0)</f>
        <v>-135.16927252919282</v>
      </c>
      <c r="Q20" s="31">
        <f>-MAX($B$20*SUM($D$18:Q$18)+SUM($D$20:P$20)+$C$20,0)</f>
        <v>-119.99494733006846</v>
      </c>
      <c r="R20" s="31">
        <f>-MAX($B$20*SUM($D$18:R$18)+SUM($D$20:Q$20)+$C$20,0)</f>
        <v>-104.81963024997044</v>
      </c>
      <c r="S20" s="31">
        <f>-MAX($B$20*SUM($D$18:S$18)+SUM($D$20:R$20)+$C$20,0)</f>
        <v>-89.643291532469632</v>
      </c>
    </row>
    <row r="21" spans="1:19" s="6" customFormat="1" ht="16.5" thickBot="1" x14ac:dyDescent="0.3">
      <c r="A21" s="37" t="s">
        <v>9</v>
      </c>
      <c r="B21" s="38"/>
      <c r="C21" s="38"/>
      <c r="D21" s="39">
        <f>D18+D20</f>
        <v>-6.4</v>
      </c>
      <c r="E21" s="39">
        <f t="shared" ref="E21:S21" si="14">E18+E20</f>
        <v>-12.6</v>
      </c>
      <c r="F21" s="39">
        <f t="shared" si="14"/>
        <v>-23</v>
      </c>
      <c r="G21" s="39">
        <f t="shared" ref="G21" si="15">G18+G20</f>
        <v>-23</v>
      </c>
      <c r="H21" s="39">
        <f t="shared" si="14"/>
        <v>67.419944375000014</v>
      </c>
      <c r="I21" s="39">
        <f t="shared" si="14"/>
        <v>99.605988749999995</v>
      </c>
      <c r="J21" s="39">
        <f t="shared" si="14"/>
        <v>183.09022050000004</v>
      </c>
      <c r="K21" s="39">
        <f t="shared" si="14"/>
        <v>294.23239149000005</v>
      </c>
      <c r="L21" s="59">
        <f t="shared" si="14"/>
        <v>368.30254123469996</v>
      </c>
      <c r="M21" s="39">
        <f t="shared" si="14"/>
        <v>368.23062122174105</v>
      </c>
      <c r="N21" s="39">
        <f t="shared" si="14"/>
        <v>368.15654360839318</v>
      </c>
      <c r="O21" s="39">
        <f t="shared" si="14"/>
        <v>368.08024366664523</v>
      </c>
      <c r="P21" s="39">
        <f t="shared" si="14"/>
        <v>330.93166722664432</v>
      </c>
      <c r="Q21" s="39">
        <f t="shared" si="14"/>
        <v>293.78073311844383</v>
      </c>
      <c r="R21" s="39">
        <f t="shared" si="14"/>
        <v>256.62737061199715</v>
      </c>
      <c r="S21" s="39">
        <f t="shared" si="14"/>
        <v>219.47150685535706</v>
      </c>
    </row>
    <row r="22" spans="1:19" ht="12.75" x14ac:dyDescent="0.2">
      <c r="A22" s="12"/>
      <c r="B22" s="13"/>
      <c r="C22" s="1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12.75" x14ac:dyDescent="0.2">
      <c r="A23" s="12"/>
      <c r="B23" s="13"/>
      <c r="C23" s="13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12.75" x14ac:dyDescent="0.2">
      <c r="A24" s="40" t="s">
        <v>11</v>
      </c>
      <c r="B24" s="41">
        <f>0.594+0.228*0</f>
        <v>0.59399999999999997</v>
      </c>
      <c r="C24" s="32"/>
      <c r="D24" s="32">
        <v>1</v>
      </c>
      <c r="E24" s="32">
        <v>1</v>
      </c>
      <c r="F24" s="32">
        <v>1</v>
      </c>
      <c r="G24" s="32">
        <v>1</v>
      </c>
      <c r="H24" s="32">
        <f t="shared" ref="H24:S24" si="16">$B$24</f>
        <v>0.59399999999999997</v>
      </c>
      <c r="I24" s="32">
        <f t="shared" si="16"/>
        <v>0.59399999999999997</v>
      </c>
      <c r="J24" s="32">
        <f t="shared" si="16"/>
        <v>0.59399999999999997</v>
      </c>
      <c r="K24" s="32">
        <f t="shared" si="16"/>
        <v>0.59399999999999997</v>
      </c>
      <c r="L24" s="32">
        <f t="shared" si="16"/>
        <v>0.59399999999999997</v>
      </c>
      <c r="M24" s="32">
        <f t="shared" si="16"/>
        <v>0.59399999999999997</v>
      </c>
      <c r="N24" s="32">
        <f t="shared" si="16"/>
        <v>0.59399999999999997</v>
      </c>
      <c r="O24" s="32">
        <f t="shared" si="16"/>
        <v>0.59399999999999997</v>
      </c>
      <c r="P24" s="32">
        <f t="shared" si="16"/>
        <v>0.59399999999999997</v>
      </c>
      <c r="Q24" s="32">
        <f t="shared" si="16"/>
        <v>0.59399999999999997</v>
      </c>
      <c r="R24" s="32">
        <f t="shared" si="16"/>
        <v>0.59399999999999997</v>
      </c>
      <c r="S24" s="32">
        <f t="shared" si="16"/>
        <v>0.59399999999999997</v>
      </c>
    </row>
    <row r="25" spans="1:19" ht="12.75" x14ac:dyDescent="0.2">
      <c r="A25" s="13"/>
      <c r="B25" s="1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s="6" customFormat="1" ht="13.5" thickBot="1" x14ac:dyDescent="0.25">
      <c r="A26" s="42" t="s">
        <v>10</v>
      </c>
      <c r="B26" s="42"/>
      <c r="C26" s="43"/>
      <c r="D26" s="44">
        <f>D21*D24</f>
        <v>-6.4</v>
      </c>
      <c r="E26" s="44">
        <f t="shared" ref="E26:S26" si="17">E21*E24</f>
        <v>-12.6</v>
      </c>
      <c r="F26" s="44">
        <f t="shared" si="17"/>
        <v>-23</v>
      </c>
      <c r="G26" s="44">
        <f t="shared" ref="G26" si="18">G21*G24</f>
        <v>-23</v>
      </c>
      <c r="H26" s="44">
        <f>(H21-H11)*H24+H11</f>
        <v>38.829446958750005</v>
      </c>
      <c r="I26" s="44">
        <f t="shared" si="17"/>
        <v>59.165957317499995</v>
      </c>
      <c r="J26" s="44">
        <f t="shared" si="17"/>
        <v>108.75559097700003</v>
      </c>
      <c r="K26" s="44">
        <f t="shared" si="17"/>
        <v>174.77404054506002</v>
      </c>
      <c r="L26" s="44">
        <f t="shared" si="17"/>
        <v>218.77170949341178</v>
      </c>
      <c r="M26" s="44">
        <f t="shared" si="17"/>
        <v>218.72898900571417</v>
      </c>
      <c r="N26" s="44">
        <f t="shared" si="17"/>
        <v>218.68498690338555</v>
      </c>
      <c r="O26" s="44">
        <f t="shared" si="17"/>
        <v>218.63966473798726</v>
      </c>
      <c r="P26" s="44">
        <f t="shared" si="17"/>
        <v>196.57341033262671</v>
      </c>
      <c r="Q26" s="44">
        <f t="shared" si="17"/>
        <v>174.50575547235562</v>
      </c>
      <c r="R26" s="44">
        <f t="shared" si="17"/>
        <v>152.4366581435263</v>
      </c>
      <c r="S26" s="44">
        <f t="shared" si="17"/>
        <v>130.36607507208208</v>
      </c>
    </row>
    <row r="27" spans="1:19" ht="12.75" x14ac:dyDescent="0.2">
      <c r="A27" s="12"/>
      <c r="B27" s="12"/>
      <c r="C27" s="13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2.75" x14ac:dyDescent="0.2">
      <c r="A28" s="12"/>
      <c r="B28" s="45" t="s">
        <v>14</v>
      </c>
      <c r="C28" s="46" t="s">
        <v>15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2.75" x14ac:dyDescent="0.2">
      <c r="A29" s="12" t="s">
        <v>12</v>
      </c>
      <c r="B29" s="47">
        <v>0.3</v>
      </c>
      <c r="C29" s="48">
        <f>NPV($B29,$D$21:$S$21)*((1+$B29)^0.5)</f>
        <v>225.32642813333968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16.5" thickBot="1" x14ac:dyDescent="0.3">
      <c r="A30" s="49" t="s">
        <v>13</v>
      </c>
      <c r="B30" s="50">
        <v>0.3</v>
      </c>
      <c r="C30" s="56">
        <f>NPV($B30,$D$26:$S$26)*((1+$B30)^0.5)</f>
        <v>119.16570285762235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12.75" x14ac:dyDescent="0.2">
      <c r="A31" s="12"/>
      <c r="B31" s="12"/>
      <c r="C31" s="1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ht="16.5" thickBot="1" x14ac:dyDescent="0.3">
      <c r="A32" s="49" t="s">
        <v>25</v>
      </c>
      <c r="B32" s="51">
        <v>0.15</v>
      </c>
      <c r="C32" s="57">
        <f>NPV($B32,$H$21:$S$21)*((1+$B32)^0.5)</f>
        <v>1379.5786442880662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4" ht="27" customHeight="1" thickBot="1" x14ac:dyDescent="0.3">
      <c r="A33" s="52" t="s">
        <v>29</v>
      </c>
      <c r="B33" s="51">
        <v>0.15</v>
      </c>
      <c r="C33" s="57">
        <v>5520</v>
      </c>
      <c r="D33" s="62" t="s">
        <v>27</v>
      </c>
      <c r="E33" s="62"/>
      <c r="F33" s="62"/>
      <c r="G33" s="62"/>
      <c r="H33" s="62"/>
      <c r="I33" s="62"/>
      <c r="J33" s="61"/>
      <c r="K33" s="61"/>
      <c r="L33" s="61"/>
      <c r="M33" s="61"/>
      <c r="N33" s="60"/>
    </row>
    <row r="34" spans="1:14" ht="28.5" customHeight="1" thickBot="1" x14ac:dyDescent="0.3">
      <c r="A34" s="54" t="s">
        <v>26</v>
      </c>
      <c r="B34" s="53"/>
      <c r="C34" s="58">
        <v>14700</v>
      </c>
      <c r="D34" s="63" t="s">
        <v>27</v>
      </c>
      <c r="E34" s="63"/>
      <c r="F34" s="63"/>
      <c r="G34" s="63"/>
      <c r="H34" s="63"/>
      <c r="I34" s="63"/>
      <c r="J34" s="61"/>
      <c r="K34" s="61"/>
      <c r="L34" s="61"/>
      <c r="M34" s="61"/>
      <c r="N34" s="61"/>
    </row>
  </sheetData>
  <sheetProtection formatCells="0" formatColumns="0" formatRows="0" insertColumns="0" insertRows="0" insertHyperlinks="0" deleteColumns="0" deleteRows="0" sort="0" autoFilter="0" pivotTables="0"/>
  <mergeCells count="2">
    <mergeCell ref="D33:I33"/>
    <mergeCell ref="D34:I34"/>
  </mergeCells>
  <phoneticPr fontId="3" type="noConversion"/>
  <pageMargins left="0.25" right="0.25" top="0.75" bottom="0.75" header="0.3" footer="0.3"/>
  <pageSetup scale="79" orientation="landscape" horizontalDpi="4294967292" verticalDpi="4294967292" r:id="rId1"/>
  <headerFooter>
    <oddHeader>&amp;C&amp;"-,Bold"&amp;USquarex Pharmaceutical Corporation&amp;"-,Regular"&amp;U
Forecast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NPV</vt:lpstr>
      <vt:lpstr>NPV!Print_Area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Melin</dc:creator>
  <cp:lastModifiedBy>Hugh</cp:lastModifiedBy>
  <cp:lastPrinted>2023-05-16T19:34:13Z</cp:lastPrinted>
  <dcterms:created xsi:type="dcterms:W3CDTF">2015-08-10T22:27:31Z</dcterms:created>
  <dcterms:modified xsi:type="dcterms:W3CDTF">2023-05-19T20:46:36Z</dcterms:modified>
</cp:coreProperties>
</file>